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head count" sheetId="1" r:id="rId1"/>
    <sheet name="Profit &amp; Loss" sheetId="2" r:id="rId2"/>
    <sheet name="Cash flow" sheetId="3" r:id="rId3"/>
    <sheet name="Balance Sheet" sheetId="4" r:id="rId4"/>
    <sheet name="acquisition" sheetId="5" r:id="rId5"/>
    <sheet name="Cap chart" sheetId="6" r:id="rId6"/>
    <sheet name="outcome" sheetId="7" r:id="rId7"/>
  </sheets>
  <definedNames>
    <definedName name="_xlnm.Print_Area" localSheetId="4">'acquisition'!$A$1:$F$16</definedName>
    <definedName name="_xlnm.Print_Area" localSheetId="3">'Balance Sheet'!$A$1:$F$19</definedName>
    <definedName name="_xlnm.Print_Area" localSheetId="5">'Cap chart'!$A$1:$L$19</definedName>
    <definedName name="_xlnm.Print_Area" localSheetId="2">'Cash flow'!$A$1:$F$20</definedName>
    <definedName name="_xlnm.Print_Area" localSheetId="0">'head count'!$A$1:$F$23</definedName>
    <definedName name="_xlnm.Print_Area" localSheetId="6">'outcome'!$A$1:$G$9</definedName>
    <definedName name="_xlnm.Print_Area" localSheetId="1">'Profit &amp; Loss'!$A$1:$F$25</definedName>
  </definedNames>
  <calcPr fullCalcOnLoad="1"/>
</workbook>
</file>

<file path=xl/sharedStrings.xml><?xml version="1.0" encoding="utf-8"?>
<sst xmlns="http://schemas.openxmlformats.org/spreadsheetml/2006/main" count="86" uniqueCount="68">
  <si>
    <t>Widget, Inc.</t>
  </si>
  <si>
    <t>Founders</t>
  </si>
  <si>
    <t>R&amp;D</t>
  </si>
  <si>
    <t>Sales/Marketing</t>
  </si>
  <si>
    <t>Admin</t>
  </si>
  <si>
    <t>Salary</t>
  </si>
  <si>
    <t>Wage expense</t>
  </si>
  <si>
    <t>Profit and Loss Statement</t>
  </si>
  <si>
    <t>($'000)</t>
  </si>
  <si>
    <t>Assumptions</t>
  </si>
  <si>
    <t>Unit qty sold (000)</t>
  </si>
  <si>
    <t>Unit price</t>
  </si>
  <si>
    <t>Unit COS (cost of sales)</t>
  </si>
  <si>
    <t>Revenue</t>
  </si>
  <si>
    <t>Cost of sales</t>
  </si>
  <si>
    <t>Gross Margin</t>
  </si>
  <si>
    <t>Expenses</t>
  </si>
  <si>
    <t>Wages</t>
  </si>
  <si>
    <t>Marketing</t>
  </si>
  <si>
    <t>Administration</t>
  </si>
  <si>
    <t>Equipment lease</t>
  </si>
  <si>
    <t>Total expenses</t>
  </si>
  <si>
    <t>Net Profit</t>
  </si>
  <si>
    <t>Cash Flow Analysis</t>
  </si>
  <si>
    <t>Opening</t>
  </si>
  <si>
    <t>Inflow</t>
  </si>
  <si>
    <t>Equity</t>
  </si>
  <si>
    <t>Outflows</t>
  </si>
  <si>
    <t>Increase in receivable</t>
  </si>
  <si>
    <t>Loss</t>
  </si>
  <si>
    <t>Closing</t>
  </si>
  <si>
    <t>Balance Sheet</t>
  </si>
  <si>
    <t>Assets</t>
  </si>
  <si>
    <t>Cash</t>
  </si>
  <si>
    <t>Receivables</t>
  </si>
  <si>
    <t>Total Assets</t>
  </si>
  <si>
    <t>Retained earnings</t>
  </si>
  <si>
    <t>Current earnings</t>
  </si>
  <si>
    <t>Liabilities and Equity</t>
  </si>
  <si>
    <t>Acquisition pricing 2003 ($'000)</t>
  </si>
  <si>
    <t>Sales</t>
  </si>
  <si>
    <t>Profit</t>
  </si>
  <si>
    <t>Profit Growth</t>
  </si>
  <si>
    <t>Multiple of acquiring company</t>
  </si>
  <si>
    <t>Assumed valuation</t>
  </si>
  <si>
    <t>Widget Inc.</t>
  </si>
  <si>
    <t xml:space="preserve"> </t>
  </si>
  <si>
    <t>Capitalization</t>
  </si>
  <si>
    <t>1st round</t>
  </si>
  <si>
    <t>2nd round</t>
  </si>
  <si>
    <t>Seed capital</t>
  </si>
  <si>
    <t>After</t>
  </si>
  <si>
    <t>Shares outstanding</t>
  </si>
  <si>
    <t>recent price</t>
  </si>
  <si>
    <t>Pre-money</t>
  </si>
  <si>
    <t>Amount raised</t>
  </si>
  <si>
    <t>Post-money</t>
  </si>
  <si>
    <t>Widget, Inc</t>
  </si>
  <si>
    <t>Outcome</t>
  </si>
  <si>
    <t>Investment</t>
  </si>
  <si>
    <t>dollars</t>
  </si>
  <si>
    <t>multiple</t>
  </si>
  <si>
    <t>IRR</t>
  </si>
  <si>
    <t>Assume sales proceeds</t>
  </si>
  <si>
    <t>Sales &amp; Headcount worksheet</t>
  </si>
  <si>
    <t>Sales (Unit '000)</t>
  </si>
  <si>
    <t>Rent ($4sqft, 100sqft/person)</t>
  </si>
  <si>
    <t xml:space="preserve">  ----- DO NOT USE 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</si>
</sst>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_);[Red]\(&quot;$&quot;#,##0.0\)"/>
    <numFmt numFmtId="171" formatCode="0.0%"/>
    <numFmt numFmtId="172" formatCode="&quot;$&quot;#,##0.000_);[Red]\(&quot;$&quot;#,##0.000\)"/>
    <numFmt numFmtId="173" formatCode="&quot;$&quot;#,##0.0000_);[Red]\(&quot;$&quot;#,##0.0000\)"/>
    <numFmt numFmtId="174" formatCode="_(* #,##0.000_);_(* \(#,##0.000\);_(* &quot;-&quot;??_);_(@_)"/>
    <numFmt numFmtId="175" formatCode="_(* #,##0.0000_);_(* \(#,##0.0000\);_(* &quot;-&quot;??_);_(@_)"/>
    <numFmt numFmtId="176" formatCode="0.000%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5" fontId="0" fillId="0" borderId="0" xfId="17" applyNumberFormat="1" applyFon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17" applyNumberFormat="1" applyBorder="1" applyAlignment="1">
      <alignment/>
    </xf>
    <xf numFmtId="0" fontId="0" fillId="0" borderId="2" xfId="0" applyBorder="1" applyAlignment="1">
      <alignment/>
    </xf>
    <xf numFmtId="165" fontId="0" fillId="0" borderId="1" xfId="17" applyNumberFormat="1" applyBorder="1" applyAlignment="1">
      <alignment/>
    </xf>
    <xf numFmtId="0" fontId="0" fillId="0" borderId="0" xfId="0" applyFill="1" applyAlignment="1">
      <alignment/>
    </xf>
    <xf numFmtId="165" fontId="0" fillId="0" borderId="0" xfId="17" applyNumberFormat="1" applyFill="1" applyAlignment="1">
      <alignment/>
    </xf>
    <xf numFmtId="165" fontId="0" fillId="2" borderId="0" xfId="17" applyNumberFormat="1" applyFill="1" applyAlignment="1" applyProtection="1">
      <alignment/>
      <protection locked="0"/>
    </xf>
    <xf numFmtId="42" fontId="0" fillId="0" borderId="0" xfId="17" applyNumberFormat="1" applyAlignment="1" applyProtection="1">
      <alignment/>
      <protection locked="0"/>
    </xf>
    <xf numFmtId="42" fontId="0" fillId="0" borderId="0" xfId="17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7" fontId="0" fillId="0" borderId="0" xfId="15" applyNumberFormat="1" applyFont="1" applyFill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166" fontId="0" fillId="0" borderId="0" xfId="15" applyNumberFormat="1" applyAlignment="1">
      <alignment/>
    </xf>
    <xf numFmtId="6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15" applyNumberFormat="1" applyBorder="1" applyAlignment="1">
      <alignment/>
    </xf>
    <xf numFmtId="167" fontId="0" fillId="0" borderId="0" xfId="15" applyNumberFormat="1" applyFont="1" applyAlignment="1">
      <alignment horizontal="right"/>
    </xf>
    <xf numFmtId="167" fontId="0" fillId="0" borderId="2" xfId="0" applyNumberFormat="1" applyBorder="1" applyAlignment="1">
      <alignment/>
    </xf>
    <xf numFmtId="9" fontId="0" fillId="0" borderId="2" xfId="19" applyBorder="1" applyAlignment="1">
      <alignment/>
    </xf>
    <xf numFmtId="166" fontId="0" fillId="0" borderId="0" xfId="15" applyNumberFormat="1" applyFont="1" applyAlignment="1">
      <alignment horizontal="center"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9" fontId="0" fillId="0" borderId="3" xfId="19" applyBorder="1" applyAlignment="1">
      <alignment horizontal="centerContinuous"/>
    </xf>
    <xf numFmtId="165" fontId="0" fillId="0" borderId="0" xfId="17" applyNumberFormat="1" applyFont="1" applyFill="1" applyAlignment="1">
      <alignment/>
    </xf>
    <xf numFmtId="167" fontId="0" fillId="0" borderId="0" xfId="15" applyNumberFormat="1" applyFill="1" applyAlignment="1" applyProtection="1">
      <alignment/>
      <protection locked="0"/>
    </xf>
    <xf numFmtId="0" fontId="0" fillId="0" borderId="3" xfId="0" applyBorder="1" applyAlignment="1">
      <alignment/>
    </xf>
    <xf numFmtId="9" fontId="0" fillId="0" borderId="0" xfId="19" applyNumberFormat="1" applyAlignment="1">
      <alignment/>
    </xf>
    <xf numFmtId="167" fontId="0" fillId="2" borderId="0" xfId="15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42" fontId="0" fillId="2" borderId="0" xfId="17" applyNumberFormat="1" applyFill="1" applyAlignment="1" applyProtection="1">
      <alignment/>
      <protection locked="0"/>
    </xf>
    <xf numFmtId="165" fontId="0" fillId="0" borderId="0" xfId="17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44" fontId="0" fillId="2" borderId="0" xfId="17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0.7109375" style="0" customWidth="1"/>
    <col min="3" max="6" width="9.7109375" style="0" customWidth="1"/>
  </cols>
  <sheetData>
    <row r="1" spans="1:6" ht="12.75">
      <c r="A1" s="35" t="s">
        <v>0</v>
      </c>
      <c r="B1" s="35"/>
      <c r="C1" s="35"/>
      <c r="D1" s="35"/>
      <c r="E1" s="35"/>
      <c r="F1" s="35"/>
    </row>
    <row r="2" spans="1:6" ht="12.75">
      <c r="A2" s="35" t="s">
        <v>64</v>
      </c>
      <c r="B2" s="35"/>
      <c r="C2" s="35"/>
      <c r="D2" s="35"/>
      <c r="E2" s="35"/>
      <c r="F2" s="35"/>
    </row>
    <row r="4" spans="2:6" ht="12.75">
      <c r="B4" s="40">
        <v>2000</v>
      </c>
      <c r="C4" s="40">
        <f>B4+1</f>
        <v>2001</v>
      </c>
      <c r="D4" s="40">
        <f>C4+1</f>
        <v>2002</v>
      </c>
      <c r="E4" s="40">
        <f>D4+1</f>
        <v>2003</v>
      </c>
      <c r="F4" s="40">
        <f>E4+1</f>
        <v>2004</v>
      </c>
    </row>
    <row r="6" spans="1:6" ht="12.75">
      <c r="A6" t="s">
        <v>65</v>
      </c>
      <c r="B6" s="42">
        <v>10</v>
      </c>
      <c r="C6" s="42">
        <v>50</v>
      </c>
      <c r="D6" s="42">
        <v>300</v>
      </c>
      <c r="E6" s="42">
        <v>500</v>
      </c>
      <c r="F6" s="42">
        <v>1000</v>
      </c>
    </row>
    <row r="8" spans="1:6" ht="12.75">
      <c r="A8" t="s">
        <v>1</v>
      </c>
      <c r="B8" s="1">
        <v>3</v>
      </c>
      <c r="C8" s="1">
        <v>3</v>
      </c>
      <c r="D8" s="1">
        <v>3</v>
      </c>
      <c r="E8" s="1">
        <v>3</v>
      </c>
      <c r="F8" s="1">
        <v>3</v>
      </c>
    </row>
    <row r="9" spans="1:6" ht="12.75">
      <c r="A9" t="s">
        <v>2</v>
      </c>
      <c r="B9" s="43">
        <v>0</v>
      </c>
      <c r="C9" s="43">
        <v>7</v>
      </c>
      <c r="D9" s="43">
        <v>15</v>
      </c>
      <c r="E9" s="43">
        <v>20</v>
      </c>
      <c r="F9" s="43">
        <v>30</v>
      </c>
    </row>
    <row r="10" spans="1:6" ht="12.75">
      <c r="A10" t="s">
        <v>3</v>
      </c>
      <c r="B10" s="43">
        <v>1</v>
      </c>
      <c r="C10" s="43">
        <v>4</v>
      </c>
      <c r="D10" s="43">
        <v>9</v>
      </c>
      <c r="E10" s="43">
        <v>20</v>
      </c>
      <c r="F10" s="43">
        <v>40</v>
      </c>
    </row>
    <row r="11" spans="1:6" ht="12.75">
      <c r="A11" t="s">
        <v>4</v>
      </c>
      <c r="B11" s="43">
        <v>1</v>
      </c>
      <c r="C11" s="43">
        <v>2</v>
      </c>
      <c r="D11" s="43">
        <v>3</v>
      </c>
      <c r="E11" s="43">
        <v>5</v>
      </c>
      <c r="F11" s="43">
        <v>6</v>
      </c>
    </row>
    <row r="12" spans="2:6" ht="13.5" thickBot="1">
      <c r="B12" s="8">
        <f>SUM(B8:B11)</f>
        <v>5</v>
      </c>
      <c r="C12" s="8">
        <f>SUM(C8:C11)</f>
        <v>16</v>
      </c>
      <c r="D12" s="8">
        <f>SUM(D8:D11)</f>
        <v>30</v>
      </c>
      <c r="E12" s="8">
        <f>SUM(E8:E11)</f>
        <v>48</v>
      </c>
      <c r="F12" s="8">
        <f>SUM(F8:F11)</f>
        <v>79</v>
      </c>
    </row>
    <row r="13" ht="13.5" thickTop="1"/>
    <row r="15" ht="12.75">
      <c r="A15" t="s">
        <v>5</v>
      </c>
    </row>
    <row r="16" spans="2:6" ht="12.75">
      <c r="B16" s="2"/>
      <c r="C16" s="2"/>
      <c r="D16" s="2"/>
      <c r="E16" s="2"/>
      <c r="F16" s="2"/>
    </row>
    <row r="17" spans="1:6" ht="12.75">
      <c r="A17" t="str">
        <f>A8</f>
        <v>Founders</v>
      </c>
      <c r="B17" s="2">
        <f>ROUND(60,0)</f>
        <v>60</v>
      </c>
      <c r="C17" s="2">
        <v>80</v>
      </c>
      <c r="D17" s="2">
        <v>100</v>
      </c>
      <c r="E17" s="2">
        <v>100</v>
      </c>
      <c r="F17" s="2">
        <v>100</v>
      </c>
    </row>
    <row r="18" spans="1:6" ht="12.75">
      <c r="A18" t="str">
        <f>A9</f>
        <v>R&amp;D</v>
      </c>
      <c r="B18" s="2">
        <f>ROUND(60,0)</f>
        <v>60</v>
      </c>
      <c r="C18" s="2">
        <f>ROUND(60,0)</f>
        <v>60</v>
      </c>
      <c r="D18" s="2">
        <v>70</v>
      </c>
      <c r="E18" s="2">
        <v>80</v>
      </c>
      <c r="F18" s="2">
        <v>90</v>
      </c>
    </row>
    <row r="19" spans="1:6" ht="12.75">
      <c r="A19" t="str">
        <f>A10</f>
        <v>Sales/Marketing</v>
      </c>
      <c r="B19" s="2">
        <f>ROUND(70,0)</f>
        <v>70</v>
      </c>
      <c r="C19" s="2">
        <v>70</v>
      </c>
      <c r="D19" s="2">
        <v>70</v>
      </c>
      <c r="E19" s="2">
        <v>70</v>
      </c>
      <c r="F19" s="2">
        <v>70</v>
      </c>
    </row>
    <row r="20" spans="1:6" ht="12.75">
      <c r="A20" t="str">
        <f>A11</f>
        <v>Admin</v>
      </c>
      <c r="B20" s="2">
        <f>ROUND(60,0)</f>
        <v>60</v>
      </c>
      <c r="C20" s="2">
        <f>ROUND(B20*1.03,0)</f>
        <v>62</v>
      </c>
      <c r="D20" s="2">
        <f>ROUND(C20*1.03,0)</f>
        <v>64</v>
      </c>
      <c r="E20" s="2">
        <f>ROUND(D20*1.03,0)</f>
        <v>66</v>
      </c>
      <c r="F20" s="2">
        <f>ROUND(E20*1.03,0)</f>
        <v>68</v>
      </c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1:6" ht="13.5" thickBot="1">
      <c r="A23" t="s">
        <v>6</v>
      </c>
      <c r="B23" s="7">
        <f>B8*B17+B9*B18+B10*B19+B11*B20</f>
        <v>310</v>
      </c>
      <c r="C23" s="7">
        <f>C8*C17+C9*C18+C10*C19+C11*C20</f>
        <v>1064</v>
      </c>
      <c r="D23" s="7">
        <f>D8*D17+D9*D18+D10*D19+D11*D20</f>
        <v>2172</v>
      </c>
      <c r="E23" s="7">
        <f>E8*E17+E9*E18+E10*E19+E11*E20</f>
        <v>3630</v>
      </c>
      <c r="F23" s="7">
        <f>F8*F17+F9*F18+F10*F19+F11*F20</f>
        <v>6208</v>
      </c>
    </row>
    <row r="24" ht="13.5" thickTop="1"/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bestFit="1" customWidth="1"/>
    <col min="2" max="2" width="12.28125" style="0" customWidth="1"/>
    <col min="3" max="4" width="13.8515625" style="0" customWidth="1"/>
    <col min="5" max="6" width="14.8515625" style="0" customWidth="1"/>
  </cols>
  <sheetData>
    <row r="1" spans="1:6" ht="12.75">
      <c r="A1" s="35" t="s">
        <v>0</v>
      </c>
      <c r="B1" s="35"/>
      <c r="C1" s="35"/>
      <c r="D1" s="35"/>
      <c r="E1" s="35"/>
      <c r="F1" s="35"/>
    </row>
    <row r="2" spans="1:6" ht="12.75">
      <c r="A2" s="35" t="s">
        <v>7</v>
      </c>
      <c r="B2" s="35"/>
      <c r="C2" s="35"/>
      <c r="D2" s="35"/>
      <c r="E2" s="35"/>
      <c r="F2" s="35"/>
    </row>
    <row r="3" spans="1:6" ht="12.75">
      <c r="A3" s="35" t="s">
        <v>8</v>
      </c>
      <c r="B3" s="35"/>
      <c r="C3" s="35"/>
      <c r="D3" s="35"/>
      <c r="E3" s="35"/>
      <c r="F3" s="35"/>
    </row>
    <row r="5" spans="2:6" s="16" customFormat="1" ht="12.75">
      <c r="B5" s="40">
        <v>2000</v>
      </c>
      <c r="C5" s="40">
        <f>B5+1</f>
        <v>2001</v>
      </c>
      <c r="D5" s="40">
        <f>C5+1</f>
        <v>2002</v>
      </c>
      <c r="E5" s="40">
        <f>D5+1</f>
        <v>2003</v>
      </c>
      <c r="F5" s="40">
        <f>E5+1</f>
        <v>2004</v>
      </c>
    </row>
    <row r="7" spans="1:6" ht="12.75">
      <c r="A7" s="10" t="s">
        <v>9</v>
      </c>
      <c r="B7" s="10"/>
      <c r="C7" s="10"/>
      <c r="D7" s="10"/>
      <c r="E7" s="10"/>
      <c r="F7" s="10"/>
    </row>
    <row r="8" spans="1:6" s="3" customFormat="1" ht="12.75">
      <c r="A8" s="17" t="s">
        <v>10</v>
      </c>
      <c r="B8" s="39">
        <f>'head count'!B6</f>
        <v>10</v>
      </c>
      <c r="C8" s="39">
        <f>'head count'!C6</f>
        <v>50</v>
      </c>
      <c r="D8" s="39">
        <f>'head count'!D6</f>
        <v>300</v>
      </c>
      <c r="E8" s="39">
        <f>'head count'!E6</f>
        <v>500</v>
      </c>
      <c r="F8" s="39">
        <f>'head count'!F6</f>
        <v>1000</v>
      </c>
    </row>
    <row r="9" spans="1:6" s="2" customFormat="1" ht="12.75">
      <c r="A9" s="11" t="s">
        <v>11</v>
      </c>
      <c r="B9" s="12">
        <v>25</v>
      </c>
      <c r="C9" s="12">
        <v>25</v>
      </c>
      <c r="D9" s="12">
        <v>35</v>
      </c>
      <c r="E9" s="12">
        <v>40</v>
      </c>
      <c r="F9" s="12">
        <v>45</v>
      </c>
    </row>
    <row r="10" spans="1:6" s="2" customFormat="1" ht="12.75">
      <c r="A10" s="38" t="s">
        <v>12</v>
      </c>
      <c r="B10" s="12">
        <v>5</v>
      </c>
      <c r="C10" s="12">
        <v>5</v>
      </c>
      <c r="D10" s="12">
        <v>5</v>
      </c>
      <c r="E10" s="12">
        <v>20</v>
      </c>
      <c r="F10" s="12">
        <v>30</v>
      </c>
    </row>
    <row r="11" s="2" customFormat="1" ht="12.75"/>
    <row r="12" spans="1:6" s="2" customFormat="1" ht="12.75">
      <c r="A12" s="4" t="s">
        <v>13</v>
      </c>
      <c r="B12" s="2">
        <f>B8*B9</f>
        <v>250</v>
      </c>
      <c r="C12" s="2">
        <f>C8*C9</f>
        <v>1250</v>
      </c>
      <c r="D12" s="2">
        <f>D8*D9</f>
        <v>10500</v>
      </c>
      <c r="E12" s="2">
        <f>E8*E9</f>
        <v>20000</v>
      </c>
      <c r="F12" s="2">
        <f>F8*F9</f>
        <v>45000</v>
      </c>
    </row>
    <row r="13" spans="1:6" ht="12.75">
      <c r="A13" t="s">
        <v>14</v>
      </c>
      <c r="B13" s="2">
        <f>B8*B10</f>
        <v>50</v>
      </c>
      <c r="C13" s="2">
        <f>C8*C10</f>
        <v>250</v>
      </c>
      <c r="D13" s="2">
        <f>D8*D10</f>
        <v>1500</v>
      </c>
      <c r="E13" s="2">
        <f>E8*E10</f>
        <v>10000</v>
      </c>
      <c r="F13" s="2">
        <f>F8*F10</f>
        <v>30000</v>
      </c>
    </row>
    <row r="14" spans="1:6" ht="12.75">
      <c r="A14" t="s">
        <v>15</v>
      </c>
      <c r="B14" s="5">
        <f>B12-B13</f>
        <v>200</v>
      </c>
      <c r="C14" s="5">
        <f>C12-C13</f>
        <v>1000</v>
      </c>
      <c r="D14" s="5">
        <f>D12-D13</f>
        <v>9000</v>
      </c>
      <c r="E14" s="5">
        <f>E12-E13</f>
        <v>10000</v>
      </c>
      <c r="F14" s="5">
        <f>F12-F13</f>
        <v>15000</v>
      </c>
    </row>
    <row r="16" ht="12.75">
      <c r="A16" t="s">
        <v>16</v>
      </c>
    </row>
    <row r="17" spans="1:6" ht="12.75">
      <c r="A17" t="s">
        <v>17</v>
      </c>
      <c r="B17" s="13">
        <f>'head count'!B23</f>
        <v>310</v>
      </c>
      <c r="C17" s="13">
        <f>'head count'!C23</f>
        <v>1064</v>
      </c>
      <c r="D17" s="13">
        <f>'head count'!D23</f>
        <v>2172</v>
      </c>
      <c r="E17" s="13">
        <f>'head count'!E23</f>
        <v>3630</v>
      </c>
      <c r="F17" s="13">
        <f>'head count'!F23</f>
        <v>6208</v>
      </c>
    </row>
    <row r="18" spans="1:6" ht="12.75">
      <c r="A18" t="s">
        <v>66</v>
      </c>
      <c r="B18" s="13">
        <f>ROUND('head count'!C12*4*12*100/1000,0)</f>
        <v>77</v>
      </c>
      <c r="C18" s="13">
        <f>ROUND('head count'!E12*4*12*100/1000,0)</f>
        <v>230</v>
      </c>
      <c r="D18" s="13">
        <f>C18</f>
        <v>230</v>
      </c>
      <c r="E18" s="13">
        <f>ROUND('head count'!F12*2*4*12*100/1000,0)</f>
        <v>758</v>
      </c>
      <c r="F18" s="13">
        <f>E18</f>
        <v>758</v>
      </c>
    </row>
    <row r="19" spans="1:6" ht="12.75">
      <c r="A19" t="s">
        <v>18</v>
      </c>
      <c r="B19" s="44">
        <v>50</v>
      </c>
      <c r="C19" s="44">
        <v>100</v>
      </c>
      <c r="D19" s="44">
        <v>150</v>
      </c>
      <c r="E19" s="44">
        <v>500</v>
      </c>
      <c r="F19" s="44">
        <v>1000</v>
      </c>
    </row>
    <row r="20" spans="1:6" ht="12.75">
      <c r="A20" t="s">
        <v>19</v>
      </c>
      <c r="B20" s="44">
        <v>50</v>
      </c>
      <c r="C20" s="44">
        <v>58</v>
      </c>
      <c r="D20" s="44">
        <v>67</v>
      </c>
      <c r="E20" s="44">
        <v>77</v>
      </c>
      <c r="F20" s="44">
        <v>89</v>
      </c>
    </row>
    <row r="21" spans="1:6" ht="12.75">
      <c r="A21" t="s">
        <v>20</v>
      </c>
      <c r="B21" s="14">
        <f>ROUND(IF('head count'!B12=0,0,10)+(5*'head count'!B12)*0.1,0)</f>
        <v>13</v>
      </c>
      <c r="C21" s="14">
        <f>ROUND(IF(C12=0,0,10)+(5*'head count'!C12)*0.1,0)</f>
        <v>18</v>
      </c>
      <c r="D21" s="14">
        <f>ROUND(IF(D12=0,0,10)+(5*'head count'!D12)*0.1,0)</f>
        <v>25</v>
      </c>
      <c r="E21" s="14">
        <f>ROUND(IF(E12=0,0,10)+(5*'head count'!E12)*0.1,0)</f>
        <v>34</v>
      </c>
      <c r="F21" s="14">
        <f>ROUND(IF(F12=0,0,10)+(5*'head count'!F12)*0.1,0)</f>
        <v>50</v>
      </c>
    </row>
    <row r="22" spans="2:6" ht="12.75">
      <c r="B22" s="2"/>
      <c r="C22" s="2"/>
      <c r="D22" s="2"/>
      <c r="E22" s="2"/>
      <c r="F22" s="2"/>
    </row>
    <row r="23" spans="1:6" ht="12.75">
      <c r="A23" t="s">
        <v>21</v>
      </c>
      <c r="B23" s="9">
        <f>SUM(B16:B22)</f>
        <v>500</v>
      </c>
      <c r="C23" s="9">
        <f>SUM(C16:C22)</f>
        <v>1470</v>
      </c>
      <c r="D23" s="9">
        <f>SUM(D16:D22)</f>
        <v>2644</v>
      </c>
      <c r="E23" s="9">
        <f>SUM(E16:E22)</f>
        <v>4999</v>
      </c>
      <c r="F23" s="9">
        <f>SUM(F16:F22)</f>
        <v>8105</v>
      </c>
    </row>
    <row r="25" spans="1:6" ht="13.5" thickBot="1">
      <c r="A25" t="s">
        <v>22</v>
      </c>
      <c r="B25" s="6">
        <f>B14-B23</f>
        <v>-300</v>
      </c>
      <c r="C25" s="6">
        <f>C14-C23</f>
        <v>-470</v>
      </c>
      <c r="D25" s="6">
        <f>D14-D23</f>
        <v>6356</v>
      </c>
      <c r="E25" s="6">
        <f>E14-E23</f>
        <v>5001</v>
      </c>
      <c r="F25" s="6">
        <f>F14-F23</f>
        <v>6895</v>
      </c>
    </row>
    <row r="26" ht="13.5" thickTop="1"/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3" width="9.28125" style="0" customWidth="1"/>
    <col min="4" max="4" width="10.28125" style="0" customWidth="1"/>
    <col min="5" max="6" width="11.28125" style="0" customWidth="1"/>
  </cols>
  <sheetData>
    <row r="1" spans="1:6" ht="12.75">
      <c r="A1" s="35" t="s">
        <v>0</v>
      </c>
      <c r="B1" s="35"/>
      <c r="C1" s="35"/>
      <c r="D1" s="35"/>
      <c r="E1" s="35"/>
      <c r="F1" s="35"/>
    </row>
    <row r="2" spans="1:6" ht="12.75">
      <c r="A2" s="35" t="s">
        <v>23</v>
      </c>
      <c r="B2" s="35"/>
      <c r="C2" s="35"/>
      <c r="D2" s="35"/>
      <c r="E2" s="35"/>
      <c r="F2" s="35"/>
    </row>
    <row r="3" spans="1:6" ht="12.75">
      <c r="A3" s="35" t="s">
        <v>8</v>
      </c>
      <c r="B3" s="35"/>
      <c r="C3" s="35"/>
      <c r="D3" s="35"/>
      <c r="E3" s="35"/>
      <c r="F3" s="35"/>
    </row>
    <row r="5" spans="2:6" ht="12.75">
      <c r="B5" s="40">
        <v>2000</v>
      </c>
      <c r="C5" s="40">
        <f>B5+1</f>
        <v>2001</v>
      </c>
      <c r="D5" s="40">
        <f>C5+1</f>
        <v>2002</v>
      </c>
      <c r="E5" s="40">
        <f>D5+1</f>
        <v>2003</v>
      </c>
      <c r="F5" s="40">
        <f>E5+1</f>
        <v>2004</v>
      </c>
    </row>
    <row r="7" spans="1:6" ht="12.75">
      <c r="A7" t="s">
        <v>24</v>
      </c>
      <c r="B7" s="2">
        <v>0</v>
      </c>
      <c r="C7" s="2">
        <f>B20</f>
        <v>679</v>
      </c>
      <c r="D7" s="2">
        <f>C20</f>
        <v>1126</v>
      </c>
      <c r="E7" s="2">
        <f>D20</f>
        <v>6711</v>
      </c>
      <c r="F7" s="2">
        <f>E20</f>
        <v>10920</v>
      </c>
    </row>
    <row r="8" spans="2:6" ht="12.75">
      <c r="B8" s="2"/>
      <c r="C8" s="2"/>
      <c r="D8" s="2"/>
      <c r="E8" s="2"/>
      <c r="F8" s="2"/>
    </row>
    <row r="9" spans="1:6" ht="12.75">
      <c r="A9" t="s">
        <v>25</v>
      </c>
      <c r="B9" s="2"/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spans="1:6" ht="12.75">
      <c r="A11" t="s">
        <v>26</v>
      </c>
      <c r="B11" s="12">
        <v>1000</v>
      </c>
      <c r="C11" s="12">
        <v>1000</v>
      </c>
      <c r="D11" s="45" t="s">
        <v>67</v>
      </c>
      <c r="E11" s="45"/>
      <c r="F11" s="45"/>
    </row>
    <row r="12" spans="1:6" ht="12.75">
      <c r="A12" t="s">
        <v>22</v>
      </c>
      <c r="B12" s="2">
        <f>IF('Profit &amp; Loss'!B25&gt;0,'Profit &amp; Loss'!B25,0)</f>
        <v>0</v>
      </c>
      <c r="C12" s="2">
        <f>IF('Profit &amp; Loss'!C25&gt;0,'Profit &amp; Loss'!C25,0)</f>
        <v>0</v>
      </c>
      <c r="D12" s="2">
        <f>IF('Profit &amp; Loss'!D25&gt;0,'Profit &amp; Loss'!D25,0)</f>
        <v>6356</v>
      </c>
      <c r="E12" s="2">
        <f>IF('Profit &amp; Loss'!E25&gt;0,'Profit &amp; Loss'!E25,0)</f>
        <v>5001</v>
      </c>
      <c r="F12" s="2">
        <f>IF('Profit &amp; Loss'!F25&gt;0,'Profit &amp; Loss'!F25,0)</f>
        <v>6895</v>
      </c>
    </row>
    <row r="13" spans="2:6" ht="12.75">
      <c r="B13" s="9">
        <f>SUM(B10:B12)</f>
        <v>1000</v>
      </c>
      <c r="C13" s="9">
        <f>SUM(C10:C12)</f>
        <v>1000</v>
      </c>
      <c r="D13" s="9">
        <f>SUM(D10:D12)</f>
        <v>6356</v>
      </c>
      <c r="E13" s="9">
        <f>SUM(E10:E12)</f>
        <v>5001</v>
      </c>
      <c r="F13" s="9">
        <f>SUM(F10:F12)</f>
        <v>6895</v>
      </c>
    </row>
    <row r="14" spans="2:6" ht="12.75">
      <c r="B14" s="2"/>
      <c r="C14" s="2"/>
      <c r="D14" s="2"/>
      <c r="E14" s="2"/>
      <c r="F14" s="2"/>
    </row>
    <row r="15" spans="2:6" ht="12.75">
      <c r="B15" s="2"/>
      <c r="C15" s="2"/>
      <c r="D15" s="2"/>
      <c r="E15" s="2"/>
      <c r="F15" s="2"/>
    </row>
    <row r="16" spans="1:6" ht="12.75">
      <c r="A16" t="s">
        <v>27</v>
      </c>
      <c r="B16" s="2"/>
      <c r="C16" s="2"/>
      <c r="D16" s="2"/>
      <c r="E16" s="2"/>
      <c r="F16" s="2"/>
    </row>
    <row r="17" spans="1:6" ht="12.75">
      <c r="A17" t="s">
        <v>28</v>
      </c>
      <c r="B17" s="2">
        <f>'Balance Sheet'!B10</f>
        <v>21</v>
      </c>
      <c r="C17" s="2">
        <f>'Balance Sheet'!C10-'Balance Sheet'!B10</f>
        <v>83</v>
      </c>
      <c r="D17" s="2">
        <f>'Balance Sheet'!D10-'Balance Sheet'!C10</f>
        <v>771</v>
      </c>
      <c r="E17" s="2">
        <f>'Balance Sheet'!E10-'Balance Sheet'!D10</f>
        <v>792</v>
      </c>
      <c r="F17" s="2">
        <f>'Balance Sheet'!F10-'Balance Sheet'!E10</f>
        <v>2083</v>
      </c>
    </row>
    <row r="18" spans="1:6" ht="12.75">
      <c r="A18" t="s">
        <v>29</v>
      </c>
      <c r="B18" s="2">
        <f>B12-'Profit &amp; Loss'!B25</f>
        <v>300</v>
      </c>
      <c r="C18" s="2">
        <f>C12-'Profit &amp; Loss'!C25</f>
        <v>470</v>
      </c>
      <c r="D18" s="2">
        <f>D12-'Profit &amp; Loss'!D25</f>
        <v>0</v>
      </c>
      <c r="E18" s="2">
        <f>E12-'Profit &amp; Loss'!E25</f>
        <v>0</v>
      </c>
      <c r="F18" s="2">
        <f>F12-'Profit &amp; Loss'!F25</f>
        <v>0</v>
      </c>
    </row>
    <row r="19" spans="2:6" ht="12.75">
      <c r="B19" s="2"/>
      <c r="C19" s="2"/>
      <c r="D19" s="2"/>
      <c r="E19" s="2"/>
      <c r="F19" s="2"/>
    </row>
    <row r="20" spans="1:6" ht="13.5" thickBot="1">
      <c r="A20" t="s">
        <v>30</v>
      </c>
      <c r="B20" s="7">
        <f>B7+B13-SUM(B17:B19)</f>
        <v>679</v>
      </c>
      <c r="C20" s="7">
        <f>C7+C13-SUM(C17:C19)</f>
        <v>1126</v>
      </c>
      <c r="D20" s="7">
        <f>D7+D13-SUM(D17:D19)</f>
        <v>6711</v>
      </c>
      <c r="E20" s="7">
        <f>E7+E13-SUM(E17:E19)</f>
        <v>10920</v>
      </c>
      <c r="F20" s="7">
        <f>F7+F13-SUM(F17:F19)</f>
        <v>15732</v>
      </c>
    </row>
    <row r="21" ht="13.5" thickTop="1"/>
  </sheetData>
  <mergeCells count="1">
    <mergeCell ref="D11:F1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9.28125" style="0" customWidth="1"/>
    <col min="3" max="4" width="10.8515625" style="0" customWidth="1"/>
    <col min="5" max="6" width="11.28125" style="0" customWidth="1"/>
  </cols>
  <sheetData>
    <row r="1" spans="1:6" ht="12.75">
      <c r="A1" s="35" t="s">
        <v>0</v>
      </c>
      <c r="B1" s="35"/>
      <c r="C1" s="35"/>
      <c r="D1" s="35"/>
      <c r="E1" s="35"/>
      <c r="F1" s="35"/>
    </row>
    <row r="2" spans="1:6" ht="12.75">
      <c r="A2" s="35" t="s">
        <v>31</v>
      </c>
      <c r="B2" s="35"/>
      <c r="C2" s="35"/>
      <c r="D2" s="35"/>
      <c r="E2" s="35"/>
      <c r="F2" s="35"/>
    </row>
    <row r="3" spans="1:6" ht="12.75">
      <c r="A3" s="35" t="s">
        <v>8</v>
      </c>
      <c r="B3" s="35"/>
      <c r="C3" s="35"/>
      <c r="D3" s="35"/>
      <c r="E3" s="35"/>
      <c r="F3" s="35"/>
    </row>
    <row r="5" spans="2:6" ht="12.75">
      <c r="B5" s="40">
        <v>2000</v>
      </c>
      <c r="C5" s="40">
        <f>B5+1</f>
        <v>2001</v>
      </c>
      <c r="D5" s="40">
        <f>C5+1</f>
        <v>2002</v>
      </c>
      <c r="E5" s="40">
        <f>D5+1</f>
        <v>2003</v>
      </c>
      <c r="F5" s="40">
        <f>E5+1</f>
        <v>2004</v>
      </c>
    </row>
    <row r="7" ht="12.75">
      <c r="A7" t="s">
        <v>32</v>
      </c>
    </row>
    <row r="9" spans="1:6" ht="12.75">
      <c r="A9" t="s">
        <v>33</v>
      </c>
      <c r="B9" s="2">
        <f>'Cash flow'!B20</f>
        <v>679</v>
      </c>
      <c r="C9" s="2">
        <f>'Cash flow'!C20</f>
        <v>1126</v>
      </c>
      <c r="D9" s="2">
        <f>'Cash flow'!D20</f>
        <v>6711</v>
      </c>
      <c r="E9" s="2">
        <f>'Cash flow'!E20</f>
        <v>10920</v>
      </c>
      <c r="F9" s="2">
        <f>'Cash flow'!F20</f>
        <v>15732</v>
      </c>
    </row>
    <row r="10" spans="1:6" ht="12.75">
      <c r="A10" t="s">
        <v>34</v>
      </c>
      <c r="B10" s="2">
        <f>ROUND('Profit &amp; Loss'!B12/12,0)</f>
        <v>21</v>
      </c>
      <c r="C10" s="2">
        <f>ROUND('Profit &amp; Loss'!C12/12,0)</f>
        <v>104</v>
      </c>
      <c r="D10" s="2">
        <f>ROUND('Profit &amp; Loss'!D12/12,0)</f>
        <v>875</v>
      </c>
      <c r="E10" s="2">
        <f>ROUND('Profit &amp; Loss'!E12/12,0)</f>
        <v>1667</v>
      </c>
      <c r="F10" s="2">
        <f>ROUND('Profit &amp; Loss'!F12/12,0)</f>
        <v>3750</v>
      </c>
    </row>
    <row r="11" spans="2:6" ht="12.75">
      <c r="B11" s="2"/>
      <c r="C11" s="2"/>
      <c r="D11" s="2"/>
      <c r="E11" s="2"/>
      <c r="F11" s="2"/>
    </row>
    <row r="12" spans="1:6" ht="13.5" thickBot="1">
      <c r="A12" t="s">
        <v>35</v>
      </c>
      <c r="B12" s="7">
        <f>SUM(B9:B10)</f>
        <v>700</v>
      </c>
      <c r="C12" s="7">
        <f>SUM(C9:C10)</f>
        <v>1230</v>
      </c>
      <c r="D12" s="7">
        <f>SUM(D9:D10)</f>
        <v>7586</v>
      </c>
      <c r="E12" s="7">
        <f>SUM(E9:E10)</f>
        <v>12587</v>
      </c>
      <c r="F12" s="7">
        <f>SUM(F9:F10)</f>
        <v>19482</v>
      </c>
    </row>
    <row r="13" spans="2:6" ht="13.5" thickTop="1">
      <c r="B13" s="2"/>
      <c r="C13" s="2"/>
      <c r="D13" s="2"/>
      <c r="E13" s="2"/>
      <c r="F13" s="2"/>
    </row>
    <row r="14" spans="2:6" ht="12.75">
      <c r="B14" s="2"/>
      <c r="C14" s="2"/>
      <c r="D14" s="2"/>
      <c r="E14" s="2"/>
      <c r="F14" s="2"/>
    </row>
    <row r="15" spans="1:6" ht="12.75">
      <c r="A15" t="s">
        <v>26</v>
      </c>
      <c r="B15" s="2">
        <f>'Cash flow'!B11</f>
        <v>1000</v>
      </c>
      <c r="C15" s="2">
        <f>B15+'Cash flow'!C11</f>
        <v>2000</v>
      </c>
      <c r="D15" s="2">
        <f>C15</f>
        <v>2000</v>
      </c>
      <c r="E15" s="2">
        <f>D15+'Cash flow'!E11</f>
        <v>2000</v>
      </c>
      <c r="F15" s="2">
        <f>E15+'Cash flow'!F11</f>
        <v>2000</v>
      </c>
    </row>
    <row r="16" spans="1:6" ht="12.75">
      <c r="A16" t="s">
        <v>36</v>
      </c>
      <c r="B16" s="2">
        <v>0</v>
      </c>
      <c r="C16" s="2">
        <f>B16+B17</f>
        <v>-300</v>
      </c>
      <c r="D16" s="2">
        <f>C16+C17</f>
        <v>-770</v>
      </c>
      <c r="E16" s="2">
        <f>D16+D17</f>
        <v>5586</v>
      </c>
      <c r="F16" s="2">
        <f>E16+E17</f>
        <v>10587</v>
      </c>
    </row>
    <row r="17" spans="1:6" ht="12.75">
      <c r="A17" t="s">
        <v>37</v>
      </c>
      <c r="B17" s="2">
        <f>'Profit &amp; Loss'!B25</f>
        <v>-300</v>
      </c>
      <c r="C17" s="2">
        <f>'Profit &amp; Loss'!C25</f>
        <v>-470</v>
      </c>
      <c r="D17" s="2">
        <f>'Profit &amp; Loss'!D25</f>
        <v>6356</v>
      </c>
      <c r="E17" s="2">
        <f>'Profit &amp; Loss'!E25</f>
        <v>5001</v>
      </c>
      <c r="F17" s="2">
        <f>'Profit &amp; Loss'!F25</f>
        <v>6895</v>
      </c>
    </row>
    <row r="18" spans="2:6" ht="12.75">
      <c r="B18" s="2"/>
      <c r="C18" s="2"/>
      <c r="D18" s="2"/>
      <c r="E18" s="2"/>
      <c r="F18" s="2"/>
    </row>
    <row r="19" spans="1:6" ht="13.5" thickBot="1">
      <c r="A19" t="s">
        <v>38</v>
      </c>
      <c r="B19" s="7">
        <f>SUM(B15:B18)</f>
        <v>700</v>
      </c>
      <c r="C19" s="7">
        <f>SUM(C15:C18)</f>
        <v>1230</v>
      </c>
      <c r="D19" s="7">
        <f>SUM(D15:D18)</f>
        <v>7586</v>
      </c>
      <c r="E19" s="7">
        <f>SUM(E15:E18)</f>
        <v>12587</v>
      </c>
      <c r="F19" s="7">
        <f>SUM(F15:F18)</f>
        <v>19482</v>
      </c>
    </row>
    <row r="20" ht="13.5" thickTop="1"/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28125" style="0" customWidth="1"/>
    <col min="3" max="3" width="12.28125" style="0" customWidth="1"/>
    <col min="4" max="6" width="13.28125" style="0" customWidth="1"/>
  </cols>
  <sheetData>
    <row r="1" spans="1:6" ht="12.75">
      <c r="A1" s="35" t="s">
        <v>0</v>
      </c>
      <c r="B1" s="35"/>
      <c r="C1" s="35"/>
      <c r="D1" s="35"/>
      <c r="E1" s="35"/>
      <c r="F1" s="35"/>
    </row>
    <row r="3" spans="1:6" ht="12.75">
      <c r="A3" s="35" t="s">
        <v>39</v>
      </c>
      <c r="B3" s="35"/>
      <c r="C3" s="35"/>
      <c r="D3" s="35"/>
      <c r="E3" s="35"/>
      <c r="F3" s="35"/>
    </row>
    <row r="5" spans="2:6" ht="12.75">
      <c r="B5" s="40">
        <v>2000</v>
      </c>
      <c r="C5" s="40">
        <f>B5+1</f>
        <v>2001</v>
      </c>
      <c r="D5" s="40">
        <f>C5+1</f>
        <v>2002</v>
      </c>
      <c r="E5" s="40">
        <f>D5+1</f>
        <v>2003</v>
      </c>
      <c r="F5" s="40">
        <f>E5+1</f>
        <v>2004</v>
      </c>
    </row>
    <row r="7" spans="1:6" ht="12.75">
      <c r="A7" t="s">
        <v>40</v>
      </c>
      <c r="B7" s="2">
        <f>'Profit &amp; Loss'!B12</f>
        <v>250</v>
      </c>
      <c r="C7" s="2">
        <f>'Profit &amp; Loss'!C12</f>
        <v>1250</v>
      </c>
      <c r="D7" s="2">
        <f>'Profit &amp; Loss'!D12</f>
        <v>10500</v>
      </c>
      <c r="E7" s="2">
        <f>'Profit &amp; Loss'!E12</f>
        <v>20000</v>
      </c>
      <c r="F7" s="2">
        <f>'Profit &amp; Loss'!F12</f>
        <v>45000</v>
      </c>
    </row>
    <row r="8" spans="2:6" ht="12.75">
      <c r="B8" s="2"/>
      <c r="C8" s="2"/>
      <c r="D8" s="2"/>
      <c r="E8" s="2"/>
      <c r="F8" s="2"/>
    </row>
    <row r="9" spans="1:6" ht="12.75">
      <c r="A9" t="s">
        <v>41</v>
      </c>
      <c r="B9" s="2">
        <f>'Profit &amp; Loss'!B25:F25</f>
        <v>-300</v>
      </c>
      <c r="C9" s="2">
        <f>'Profit &amp; Loss'!C25:G25</f>
        <v>-470</v>
      </c>
      <c r="D9" s="2">
        <f>'Profit &amp; Loss'!D25:H25</f>
        <v>6356</v>
      </c>
      <c r="E9" s="2">
        <f>'Profit &amp; Loss'!E25:I25</f>
        <v>5001</v>
      </c>
      <c r="F9" s="2">
        <f>'Profit &amp; Loss'!F25:J25</f>
        <v>6895</v>
      </c>
    </row>
    <row r="11" spans="1:6" ht="12.75">
      <c r="A11" t="s">
        <v>42</v>
      </c>
      <c r="C11" s="19"/>
      <c r="D11" s="19"/>
      <c r="E11" s="20">
        <f>(E9-D9)/D9</f>
        <v>-0.2131843926998112</v>
      </c>
      <c r="F11" s="20">
        <f>(F9-E9)/E9</f>
        <v>0.3787242551489702</v>
      </c>
    </row>
    <row r="14" spans="4:6" ht="12.75">
      <c r="D14" s="21" t="s">
        <v>43</v>
      </c>
      <c r="F14" s="46">
        <v>20</v>
      </c>
    </row>
    <row r="16" spans="4:6" ht="12.75">
      <c r="D16" s="21" t="s">
        <v>44</v>
      </c>
      <c r="F16" s="18">
        <f>F9*F14</f>
        <v>137900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3.28125" style="0" customWidth="1"/>
    <col min="3" max="3" width="1.57421875" style="0" customWidth="1"/>
    <col min="4" max="4" width="11.28125" style="0" customWidth="1"/>
    <col min="5" max="5" width="1.57421875" style="0" customWidth="1"/>
    <col min="6" max="6" width="12.28125" style="3" customWidth="1"/>
    <col min="8" max="8" width="4.421875" style="0" customWidth="1"/>
    <col min="9" max="9" width="11.28125" style="0" customWidth="1"/>
    <col min="10" max="10" width="1.57421875" style="0" customWidth="1"/>
    <col min="11" max="11" width="12.28125" style="0" customWidth="1"/>
    <col min="12" max="12" width="9.140625" style="20" customWidth="1"/>
  </cols>
  <sheetData>
    <row r="1" ht="12.75">
      <c r="A1" t="s">
        <v>45</v>
      </c>
    </row>
    <row r="2" ht="12.75">
      <c r="C2" t="s">
        <v>46</v>
      </c>
    </row>
    <row r="3" ht="12.75">
      <c r="A3" t="s">
        <v>47</v>
      </c>
    </row>
    <row r="5" spans="4:12" ht="12.75">
      <c r="D5" s="36" t="s">
        <v>48</v>
      </c>
      <c r="E5" s="36"/>
      <c r="F5" s="36"/>
      <c r="G5" s="36"/>
      <c r="I5" s="37" t="s">
        <v>49</v>
      </c>
      <c r="J5" s="37"/>
      <c r="K5" s="37"/>
      <c r="L5" s="37"/>
    </row>
    <row r="6" spans="2:11" ht="12.75">
      <c r="B6" t="s">
        <v>50</v>
      </c>
      <c r="E6" t="s">
        <v>46</v>
      </c>
      <c r="F6" s="29" t="s">
        <v>51</v>
      </c>
      <c r="J6" t="s">
        <v>46</v>
      </c>
      <c r="K6" t="s">
        <v>51</v>
      </c>
    </row>
    <row r="8" spans="1:12" ht="12.75">
      <c r="A8" t="s">
        <v>1</v>
      </c>
      <c r="B8" s="3">
        <v>1000000</v>
      </c>
      <c r="C8" s="20"/>
      <c r="F8" s="3">
        <f>B8</f>
        <v>1000000</v>
      </c>
      <c r="G8" s="20">
        <f>F8/F13</f>
        <v>0.6666666666666666</v>
      </c>
      <c r="K8" s="27">
        <f>F8</f>
        <v>1000000</v>
      </c>
      <c r="L8" s="20">
        <f>K8/K13</f>
        <v>0.5882352941176471</v>
      </c>
    </row>
    <row r="9" spans="1:12" ht="12.75">
      <c r="A9" t="s">
        <v>48</v>
      </c>
      <c r="D9" s="3">
        <f>ROUND(D18/D15,0)</f>
        <v>500000</v>
      </c>
      <c r="F9" s="3">
        <f>D9</f>
        <v>500000</v>
      </c>
      <c r="G9" s="20">
        <f>F9/F13</f>
        <v>0.3333333333333333</v>
      </c>
      <c r="K9" s="27">
        <f>F9</f>
        <v>500000</v>
      </c>
      <c r="L9" s="20">
        <f>K9/K13</f>
        <v>0.29411764705882354</v>
      </c>
    </row>
    <row r="10" spans="1:12" ht="12.75">
      <c r="A10" t="s">
        <v>49</v>
      </c>
      <c r="I10" s="3">
        <f>I18/I15</f>
        <v>200000</v>
      </c>
      <c r="K10" s="27">
        <f>I10</f>
        <v>200000</v>
      </c>
      <c r="L10" s="41">
        <f>K10/K13</f>
        <v>0.11764705882352941</v>
      </c>
    </row>
    <row r="13" spans="1:12" ht="13.5" thickBot="1">
      <c r="A13" t="s">
        <v>52</v>
      </c>
      <c r="B13" s="28">
        <f>SUM(B7:B12)</f>
        <v>1000000</v>
      </c>
      <c r="C13" s="8"/>
      <c r="D13" s="8"/>
      <c r="E13" s="8"/>
      <c r="F13" s="28">
        <f>SUM(F7:F12)</f>
        <v>1500000</v>
      </c>
      <c r="G13" s="8"/>
      <c r="H13" s="8"/>
      <c r="I13" s="8"/>
      <c r="J13" s="8"/>
      <c r="K13" s="30">
        <f>SUM(K8:K12)</f>
        <v>1700000</v>
      </c>
      <c r="L13" s="31"/>
    </row>
    <row r="14" ht="13.5" thickTop="1"/>
    <row r="15" spans="1:9" ht="12.75">
      <c r="A15" t="s">
        <v>53</v>
      </c>
      <c r="B15" s="26">
        <v>0.0001</v>
      </c>
      <c r="D15" s="47">
        <v>2</v>
      </c>
      <c r="I15" s="47">
        <v>5</v>
      </c>
    </row>
    <row r="16" ht="12.75">
      <c r="B16" s="23"/>
    </row>
    <row r="17" spans="1:2" ht="12.75">
      <c r="A17" t="s">
        <v>54</v>
      </c>
      <c r="B17" s="25">
        <v>0</v>
      </c>
    </row>
    <row r="18" spans="1:11" ht="12.75">
      <c r="A18" t="s">
        <v>55</v>
      </c>
      <c r="B18" s="25">
        <f>B13*B15</f>
        <v>100</v>
      </c>
      <c r="D18" s="2">
        <f>'Cash flow'!B11*1000</f>
        <v>1000000</v>
      </c>
      <c r="E18" s="2"/>
      <c r="F18" s="2"/>
      <c r="G18" s="2"/>
      <c r="H18" s="2"/>
      <c r="I18" s="2">
        <f>'Cash flow'!C11*1000</f>
        <v>1000000</v>
      </c>
      <c r="J18" s="2"/>
      <c r="K18" s="2"/>
    </row>
    <row r="19" spans="1:11" ht="12.75">
      <c r="A19" t="s">
        <v>56</v>
      </c>
      <c r="B19" s="25">
        <f>B13*B15</f>
        <v>100</v>
      </c>
      <c r="D19" s="2"/>
      <c r="E19" s="2"/>
      <c r="F19" s="2">
        <f>F13*D15</f>
        <v>3000000</v>
      </c>
      <c r="G19" s="2"/>
      <c r="H19" s="2"/>
      <c r="I19" s="2"/>
      <c r="J19" s="2"/>
      <c r="K19" s="2">
        <f>K13*I15</f>
        <v>8500000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5.7109375" style="0" customWidth="1"/>
    <col min="3" max="3" width="13.28125" style="0" customWidth="1"/>
    <col min="4" max="4" width="1.57421875" style="0" customWidth="1"/>
    <col min="5" max="5" width="13.8515625" style="0" customWidth="1"/>
    <col min="6" max="6" width="9.140625" style="24" customWidth="1"/>
    <col min="7" max="7" width="9.140625" style="33" customWidth="1"/>
  </cols>
  <sheetData>
    <row r="1" ht="12.75">
      <c r="A1" t="s">
        <v>57</v>
      </c>
    </row>
    <row r="3" spans="3:7" ht="12.75">
      <c r="C3" s="21" t="s">
        <v>58</v>
      </c>
      <c r="D3" s="21" t="s">
        <v>46</v>
      </c>
      <c r="E3" s="36" t="s">
        <v>59</v>
      </c>
      <c r="F3" s="36"/>
      <c r="G3" s="36"/>
    </row>
    <row r="4" spans="5:7" ht="12.75">
      <c r="E4" s="15" t="s">
        <v>60</v>
      </c>
      <c r="F4" s="32" t="s">
        <v>61</v>
      </c>
      <c r="G4" s="34" t="s">
        <v>62</v>
      </c>
    </row>
    <row r="5" spans="1:3" ht="12.75">
      <c r="A5" t="s">
        <v>63</v>
      </c>
      <c r="C5" s="2">
        <f>acquisition!F16*1000</f>
        <v>137900000</v>
      </c>
    </row>
    <row r="7" spans="1:5" ht="12.75">
      <c r="A7" t="s">
        <v>1</v>
      </c>
      <c r="B7" s="22">
        <f>'Cap chart'!L8</f>
        <v>0.5882352941176471</v>
      </c>
      <c r="C7" s="18">
        <f>ROUND(C5*B7,0)</f>
        <v>81117647</v>
      </c>
      <c r="E7" s="2">
        <f>'Cap chart'!B18</f>
        <v>100</v>
      </c>
    </row>
    <row r="8" spans="1:7" ht="12.75">
      <c r="A8" t="s">
        <v>48</v>
      </c>
      <c r="B8" s="22">
        <f>'Cap chart'!L9</f>
        <v>0.29411764705882354</v>
      </c>
      <c r="C8" s="18">
        <f>ROUND(C5*B8,0)</f>
        <v>40558824</v>
      </c>
      <c r="E8" s="2">
        <f>'Cap chart'!D18</f>
        <v>1000000</v>
      </c>
      <c r="F8" s="24">
        <f>C8/E8</f>
        <v>40.558824</v>
      </c>
      <c r="G8" s="33">
        <f>(F8^(1/5))-1</f>
        <v>1.0970900073444332</v>
      </c>
    </row>
    <row r="9" spans="1:7" ht="12.75">
      <c r="A9" t="s">
        <v>49</v>
      </c>
      <c r="B9" s="22">
        <f>'Cap chart'!L10</f>
        <v>0.11764705882352941</v>
      </c>
      <c r="C9" s="18">
        <f>ROUND(C5*B9,0)</f>
        <v>16223529</v>
      </c>
      <c r="E9" s="2">
        <f>'Cap chart'!I18</f>
        <v>1000000</v>
      </c>
      <c r="F9" s="24">
        <f>C9/E9</f>
        <v>16.223529</v>
      </c>
      <c r="G9" s="33">
        <f>(F9^(1/4))-1</f>
        <v>1.0069489810353747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Tony Di Bona</cp:lastModifiedBy>
  <cp:lastPrinted>2000-04-04T00:34:41Z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